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A78B20C8-90B0-416F-A74E-DDFB70AE285F}" xr6:coauthVersionLast="46" xr6:coauthVersionMax="46" xr10:uidLastSave="{00000000-0000-0000-0000-000000000000}"/>
  <bookViews>
    <workbookView xWindow="-120" yWindow="-120" windowWidth="29040" windowHeight="15840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Input'!$A$1:$H$55</definedName>
    <definedName name="_xlnm.Print_Area" localSheetId="2">'Financial Input'!$A$1:$N$64</definedName>
    <definedName name="_xlnm.Print_Area" localSheetId="0">Summary!$B$1:$AM$35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2" i="4" l="1"/>
  <c r="AM31" i="4"/>
  <c r="AL31" i="4"/>
  <c r="AM30" i="4"/>
  <c r="AL30" i="4"/>
  <c r="AM29" i="4"/>
  <c r="AL29" i="4"/>
  <c r="AL32" i="4" l="1"/>
  <c r="AM32" i="4"/>
  <c r="AL33" i="4" s="1"/>
  <c r="G30" i="3" l="1"/>
  <c r="F30" i="3"/>
  <c r="K11" i="5"/>
  <c r="C30" i="3"/>
  <c r="B30" i="3"/>
  <c r="B110" i="4" l="1"/>
  <c r="D110" i="4" s="1"/>
  <c r="C110" i="4"/>
  <c r="AJ31" i="4" s="1"/>
  <c r="B95" i="4"/>
  <c r="C95" i="4"/>
  <c r="B79" i="4"/>
  <c r="C79" i="4"/>
  <c r="B94" i="4"/>
  <c r="AK30" i="4" s="1"/>
  <c r="C94" i="4"/>
  <c r="AJ30" i="4" s="1"/>
  <c r="D94" i="4"/>
  <c r="B62" i="4"/>
  <c r="C62" i="4"/>
  <c r="B63" i="4"/>
  <c r="C63" i="4"/>
  <c r="C61" i="4"/>
  <c r="B61" i="4"/>
  <c r="C93" i="4"/>
  <c r="C29" i="3"/>
  <c r="B29" i="3"/>
  <c r="C78" i="4" s="1"/>
  <c r="AJ29" i="4" s="1"/>
  <c r="G29" i="3"/>
  <c r="F29" i="3"/>
  <c r="B78" i="4" s="1"/>
  <c r="AK29" i="4" s="1"/>
  <c r="H28" i="3"/>
  <c r="B109" i="4" s="1"/>
  <c r="G28" i="3"/>
  <c r="B93" i="4" s="1"/>
  <c r="F28" i="3"/>
  <c r="B77" i="4" s="1"/>
  <c r="D28" i="3"/>
  <c r="C109" i="4" s="1"/>
  <c r="C28" i="3"/>
  <c r="B28" i="3"/>
  <c r="C77" i="4" s="1"/>
  <c r="AK31" i="4" l="1"/>
  <c r="AK32" i="4" s="1"/>
  <c r="AJ33" i="4" s="1"/>
  <c r="D79" i="4"/>
  <c r="D95" i="4"/>
  <c r="D63" i="4"/>
  <c r="D78" i="4"/>
  <c r="D62" i="4"/>
  <c r="D61" i="4"/>
  <c r="C27" i="3"/>
  <c r="B27" i="3"/>
  <c r="G27" i="3"/>
  <c r="F27" i="3"/>
  <c r="C26" i="3" l="1"/>
  <c r="B26" i="3"/>
  <c r="G26" i="3"/>
  <c r="F26" i="3"/>
  <c r="B107" i="4" l="1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D25" i="3"/>
  <c r="C106" i="4" s="1"/>
  <c r="Y31" i="4" s="1"/>
  <c r="H25" i="3"/>
  <c r="B106" i="4" s="1"/>
  <c r="Z31" i="4" s="1"/>
  <c r="C25" i="3"/>
  <c r="C90" i="4" s="1"/>
  <c r="Y30" i="4" s="1"/>
  <c r="B25" i="3"/>
  <c r="C74" i="4" s="1"/>
  <c r="Y29" i="4" s="1"/>
  <c r="G25" i="3"/>
  <c r="B90" i="4" s="1"/>
  <c r="F25" i="3"/>
  <c r="B74" i="4" s="1"/>
  <c r="D74" i="4" l="1"/>
  <c r="Z29" i="4"/>
  <c r="D90" i="4"/>
  <c r="Z30" i="4"/>
  <c r="Y32" i="4"/>
  <c r="D106" i="4"/>
  <c r="G24" i="3"/>
  <c r="B89" i="4" s="1"/>
  <c r="F24" i="3"/>
  <c r="B73" i="4" s="1"/>
  <c r="C24" i="3"/>
  <c r="C89" i="4" s="1"/>
  <c r="B24" i="3"/>
  <c r="C73" i="4" s="1"/>
  <c r="Z32" i="4" l="1"/>
  <c r="Y33" i="4" s="1"/>
  <c r="D89" i="4"/>
  <c r="M11" i="5"/>
  <c r="M19" i="5"/>
  <c r="M23" i="5"/>
  <c r="M15" i="5"/>
  <c r="G23" i="3" l="1"/>
  <c r="F23" i="3"/>
  <c r="H22" i="3" l="1"/>
  <c r="B103" i="4" s="1"/>
  <c r="G22" i="3"/>
  <c r="F22" i="3"/>
  <c r="F21" i="3" l="1"/>
  <c r="G21" i="3"/>
  <c r="C19" i="3" l="1"/>
  <c r="D19" i="3"/>
  <c r="C100" i="4" s="1"/>
  <c r="C22" i="3"/>
  <c r="D22" i="3"/>
  <c r="C103" i="4" s="1"/>
  <c r="D103" i="4" s="1"/>
  <c r="G19" i="3"/>
  <c r="G20" i="3"/>
  <c r="H19" i="3"/>
  <c r="B100" i="4" s="1"/>
  <c r="F20" i="3" l="1"/>
  <c r="C23" i="3" l="1"/>
  <c r="B23" i="3"/>
  <c r="B22" i="3" l="1"/>
  <c r="C21" i="3"/>
  <c r="B21" i="3"/>
  <c r="C20" i="3"/>
  <c r="B20" i="3"/>
  <c r="B19" i="3"/>
  <c r="C18" i="3"/>
  <c r="B18" i="3"/>
  <c r="F18" i="3"/>
  <c r="G18" i="3"/>
  <c r="F19" i="3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<sst xmlns="http://schemas.openxmlformats.org/spreadsheetml/2006/main" count="98" uniqueCount="50">
  <si>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</si>
  <si>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</si>
  <si>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</si>
  <si>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</si>
  <si>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</si>
  <si>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</si>
  <si>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</si>
  <si>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</si>
  <si>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</si>
  <si>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</si>
  <si>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</si>
  <si>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</si>
  <si>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</si>
  <si>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</si>
  <si>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</si>
  <si>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</si>
  <si>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</si>
  <si>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</si>
  <si>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</si>
  <si>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</si>
  <si>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</si>
  <si>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</si>
  <si>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</si>
  <si>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</si>
  <si>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</si>
  <si>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</si>
  <si>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</si>
  <si>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</si>
  <si>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</si>
  <si>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</si>
  <si>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</si>
  <si>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</si>
  <si>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</si>
  <si>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</si>
  <si>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</si>
  <si>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</si>
  <si>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</si>
  <si>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</si>
  <si>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</si>
  <si>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</si>
  <si>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</si>
  <si>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</si>
  <si>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</si>
  <si>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</si>
  <si>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</si>
  <si>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</si>
  <si>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</si>
  <si>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</si>
  <si>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Prior Year (2020)</t>
  </si>
  <si>
    <t>Current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</si>
</sst>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Summary!$A$51:$A$63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Summary!$C$51:$C$63</c:f>
              <c:numCache>
                <c:formatCode>_(* #,##0.00_);_(* \(#,##0.00\);_(* "-"??_);_(@_)</c:formatCode>
                <c:ptCount val="13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Summary!$A$51:$A$63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Summary!$B$51:$B$63</c:f>
              <c:numCache>
                <c:formatCode>_(* #,##0.00_);_(* \(#,##0.00\);_(* "-"??_);_(@_)</c:formatCode>
                <c:ptCount val="13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Summary!$A$67:$A$79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Summary!$C$67:$C$79</c:f>
              <c:numCache>
                <c:formatCode>_(* #,##0_);_(* \(#,##0\);_(* "-"??_);_(@_)</c:formatCode>
                <c:ptCount val="13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Summary!$A$67:$A$79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Summary!$B$67:$B$79</c:f>
              <c:numCache>
                <c:formatCode>_(* #,##0_);_(* \(#,##0\);_(* "-"??_);_(@_)</c:formatCode>
                <c:ptCount val="13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Summary!$A$83:$A$95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Summary!$C$83:$C$95</c:f>
              <c:numCache>
                <c:formatCode>_(* #,##0_);_(* \(#,##0\);_(* "-"??_);_(@_)</c:formatCode>
                <c:ptCount val="13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Summary!$A$83:$A$95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Summary!$B$83:$B$95</c:f>
              <c:numCache>
                <c:formatCode>_(* #,##0_);_(* \(#,##0\);_(* "-"??_);_(@_)</c:formatCode>
                <c:ptCount val="13"/>
                <c:pt idx="0">
                  <c:v>27184.287240000001</c:v>
                </c:pt>
                <c:pt idx="1">
                  <c:v>30591.783840000004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Summary!$A$99:$A$111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Summary!$C$99:$C$111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Summary!$A$99:$A$111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Summary!$B$99:$B$111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2327</xdr:colOff>
      <xdr:row>0</xdr:row>
      <xdr:rowOff>1329698</xdr:rowOff>
    </xdr:from>
    <xdr:to>
      <xdr:col>38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581025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560915</xdr:colOff>
      <xdr:row>16</xdr:row>
      <xdr:rowOff>27841</xdr:rowOff>
    </xdr:from>
    <xdr:to>
      <xdr:col>26</xdr:col>
      <xdr:colOff>21166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26</xdr:col>
      <xdr:colOff>9525</xdr:colOff>
      <xdr:row>16</xdr:row>
      <xdr:rowOff>22972</xdr:rowOff>
    </xdr:from>
    <xdr:to>
      <xdr:col>38</xdr:col>
      <xdr:colOff>600075</xdr:colOff>
      <xdr:row>27</xdr:row>
      <xdr:rowOff>22972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tabSelected="1" view="pageBreakPreview" topLeftCell="A4" zoomScaleNormal="90" zoomScaleSheetLayoutView="100" workbookViewId="0">
      <selection activeCell="AN37" sqref="AN37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customWidth="1"/>
    <col min="25" max="26" width="9.7109375" bestFit="1" customWidth="1"/>
    <col min="27" max="27" width="1" customWidth="1"/>
    <col min="28" max="29" width="9.7109375" bestFit="1" customWidth="1"/>
    <col min="30" max="30" width="1" customWidth="1"/>
    <col min="31" max="32" width="9.7109375" bestFit="1" customWidth="1"/>
    <col min="33" max="33" width="1" customWidth="1"/>
  </cols>
  <sheetData>
    <row r="1" spans="1:55" ht="108.75" customHeight="1" x14ac:dyDescent="1.1000000000000001">
      <c r="A1" s="48"/>
      <c r="B1" s="59" t="s">
        <v>41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25">
      <c r="A2" s="29"/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13" t="s">
        <v>13</v>
      </c>
      <c r="C28" s="11"/>
      <c r="D28" s="55">
        <v>43881</v>
      </c>
      <c r="E28" s="55"/>
      <c r="F28" s="50"/>
      <c r="G28" s="55">
        <v>43910</v>
      </c>
      <c r="H28" s="55"/>
      <c r="I28" s="50"/>
      <c r="J28" s="55">
        <v>43941</v>
      </c>
      <c r="K28" s="55"/>
      <c r="L28" s="50"/>
      <c r="M28" s="55">
        <v>43971</v>
      </c>
      <c r="N28" s="55"/>
      <c r="O28" s="50"/>
      <c r="P28" s="55">
        <v>44002</v>
      </c>
      <c r="Q28" s="55"/>
      <c r="R28" s="16"/>
      <c r="S28" s="55">
        <v>44032</v>
      </c>
      <c r="T28" s="55"/>
      <c r="U28" s="16"/>
      <c r="V28" s="55">
        <v>44063</v>
      </c>
      <c r="W28" s="55"/>
      <c r="X28" s="11"/>
      <c r="Y28" s="55">
        <v>44094</v>
      </c>
      <c r="Z28" s="55"/>
      <c r="AA28" s="11"/>
      <c r="AB28" s="55">
        <v>44124</v>
      </c>
      <c r="AC28" s="55"/>
      <c r="AD28" s="11"/>
      <c r="AE28" s="55">
        <v>44155</v>
      </c>
      <c r="AF28" s="55"/>
      <c r="AG28" s="11"/>
      <c r="AH28" s="55">
        <v>44185</v>
      </c>
      <c r="AI28" s="55"/>
      <c r="AJ28" s="55">
        <v>44216</v>
      </c>
      <c r="AK28" s="55"/>
      <c r="AL28" s="55">
        <v>44248</v>
      </c>
      <c r="AM28" s="55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12" t="str">
        <f>A65</f>
        <v>Residential Demand (Kgal)</v>
      </c>
      <c r="C29" s="11"/>
      <c r="D29" s="15">
        <f>C67</f>
        <v>111009.96192</v>
      </c>
      <c r="E29" s="14">
        <f>B67</f>
        <v>104204.22408000001</v>
      </c>
      <c r="G29" s="15">
        <f>C68</f>
        <v>123525.13140000001</v>
      </c>
      <c r="H29" s="14">
        <f>B68</f>
        <v>116687.49136</v>
      </c>
      <c r="J29" s="15">
        <f>C69</f>
        <v>113258.78652000001</v>
      </c>
      <c r="K29" s="14">
        <f>B69</f>
        <v>109598.96464000001</v>
      </c>
      <c r="M29" s="15">
        <f>C70</f>
        <v>107128.05136</v>
      </c>
      <c r="N29" s="14">
        <f>B70</f>
        <v>109656.01460000001</v>
      </c>
      <c r="P29" s="15">
        <f>C71</f>
        <v>144930.45292000001</v>
      </c>
      <c r="Q29" s="14">
        <f>B71</f>
        <v>154696.23620000001</v>
      </c>
      <c r="S29" s="15">
        <f>C72</f>
        <v>151028.01428</v>
      </c>
      <c r="T29" s="14">
        <f>B72</f>
        <v>159889.35336000001</v>
      </c>
      <c r="V29" s="15">
        <f>C73</f>
        <v>143816.33684</v>
      </c>
      <c r="W29" s="14">
        <f>B73</f>
        <v>160013.98512</v>
      </c>
      <c r="X29" s="28"/>
      <c r="Y29" s="15">
        <f>C74</f>
        <v>260607.45612000002</v>
      </c>
      <c r="Z29" s="14">
        <f>B74</f>
        <v>337995.64084000001</v>
      </c>
      <c r="AA29" s="28"/>
      <c r="AB29" s="15">
        <f>C75</f>
        <v>173601.36772000001</v>
      </c>
      <c r="AC29" s="14">
        <f>B75</f>
        <v>243049.08364000003</v>
      </c>
      <c r="AD29" s="28"/>
      <c r="AE29" s="15">
        <f>C76</f>
        <v>131198.83348</v>
      </c>
      <c r="AF29" s="14">
        <f>B76</f>
        <v>162175.56299999999</v>
      </c>
      <c r="AG29" s="28"/>
      <c r="AH29" s="15">
        <f>C77</f>
        <v>170629.38420000003</v>
      </c>
      <c r="AI29" s="14">
        <f>B77</f>
        <v>207737.90356000001</v>
      </c>
      <c r="AJ29" s="15">
        <f>C78</f>
        <v>117899.62536000001</v>
      </c>
      <c r="AK29" s="15">
        <f>B78</f>
        <v>124779.79668000001</v>
      </c>
      <c r="AL29" s="15">
        <f>C79</f>
        <v>104204.22408000001</v>
      </c>
      <c r="AM29" s="15">
        <f>B79</f>
        <v>124538.23756000001</v>
      </c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12" t="str">
        <f>A81</f>
        <v>Non-Residential Demand (Kgal)</v>
      </c>
      <c r="C30" s="11"/>
      <c r="D30" s="15">
        <f>C83</f>
        <v>24891.70464</v>
      </c>
      <c r="E30" s="14">
        <f>B83</f>
        <v>27184.287240000001</v>
      </c>
      <c r="G30" s="15">
        <f>C84</f>
        <v>42416.79552</v>
      </c>
      <c r="H30" s="14">
        <f>B84</f>
        <v>30591.783840000004</v>
      </c>
      <c r="J30" s="15">
        <f>C85</f>
        <v>33427.880640000003</v>
      </c>
      <c r="K30" s="14">
        <f>B85</f>
        <v>30008.585640000001</v>
      </c>
      <c r="M30" s="15">
        <f>C86</f>
        <v>26254.44844</v>
      </c>
      <c r="N30" s="14">
        <f>B86</f>
        <v>21459.484200000003</v>
      </c>
      <c r="P30" s="15">
        <f>C87</f>
        <v>33248.873200000002</v>
      </c>
      <c r="Q30" s="14">
        <f>B87</f>
        <v>47687.401080000003</v>
      </c>
      <c r="S30" s="15">
        <f>C88</f>
        <v>42679.937520000007</v>
      </c>
      <c r="T30" s="14">
        <f>B88</f>
        <v>33702.69584</v>
      </c>
      <c r="V30" s="15">
        <f>C89</f>
        <v>34036.498319999999</v>
      </c>
      <c r="W30" s="14">
        <f>B89</f>
        <v>30630.764560000003</v>
      </c>
      <c r="X30" s="28"/>
      <c r="Y30" s="15">
        <f>C90</f>
        <v>86367.775120000006</v>
      </c>
      <c r="Z30" s="14">
        <f>B90</f>
        <v>87939.966400000005</v>
      </c>
      <c r="AA30" s="28"/>
      <c r="AB30" s="15">
        <f>C91</f>
        <v>49561.754440000004</v>
      </c>
      <c r="AC30" s="14">
        <f>B91</f>
        <v>51017.646679999998</v>
      </c>
      <c r="AD30" s="28"/>
      <c r="AE30" s="15">
        <f>C92</f>
        <v>32261.419520000003</v>
      </c>
      <c r="AF30" s="14">
        <f>B92</f>
        <v>38090.246920000005</v>
      </c>
      <c r="AG30" s="28"/>
      <c r="AH30" s="15">
        <f>C93</f>
        <v>66164.871080000012</v>
      </c>
      <c r="AI30" s="14">
        <f>B93</f>
        <v>72201.814520000014</v>
      </c>
      <c r="AJ30" s="15">
        <f>C94</f>
        <v>38851.995160000006</v>
      </c>
      <c r="AK30" s="14">
        <f>B94</f>
        <v>32645.300600000002</v>
      </c>
      <c r="AL30" s="15">
        <f>C95</f>
        <v>27184.287240000001</v>
      </c>
      <c r="AM30" s="14">
        <f>B95</f>
        <v>32987.652720000006</v>
      </c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14013.78</v>
      </c>
      <c r="H31" s="14">
        <f>B100</f>
        <v>21965.02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30443.599999999999</v>
      </c>
      <c r="Q31" s="14">
        <f>B103</f>
        <v>27331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38376.14</v>
      </c>
      <c r="Z31" s="14">
        <f>B106</f>
        <v>50400.24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24784.98</v>
      </c>
      <c r="AI31" s="14">
        <f>B109</f>
        <v>30611.9</v>
      </c>
      <c r="AJ31" s="15">
        <f>C110</f>
        <v>0</v>
      </c>
      <c r="AK31" s="14">
        <f>B110</f>
        <v>0</v>
      </c>
      <c r="AL31" s="15">
        <f>C111</f>
        <v>0</v>
      </c>
      <c r="AM31" s="14">
        <f>B111</f>
        <v>0</v>
      </c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"Total Demand ("&amp;'Demand Input'!$C$9&amp;")"</f>
        <v>Total Demand (Kgal)</v>
      </c>
      <c r="C32" s="11"/>
      <c r="D32" s="15">
        <f>SUM(D29:D31)</f>
        <v>135901.66656000001</v>
      </c>
      <c r="E32" s="14">
        <f>SUM(E29:E31)</f>
        <v>131388.51132000002</v>
      </c>
      <c r="G32" s="15">
        <f>SUM(G29:G31)</f>
        <v>179955.70692</v>
      </c>
      <c r="H32" s="14">
        <f>SUM(H29:H31)</f>
        <v>169244.29519999999</v>
      </c>
      <c r="J32" s="15">
        <f>SUM(J29:J31)</f>
        <v>146686.66716000001</v>
      </c>
      <c r="K32" s="14">
        <f>SUM(K29:K31)</f>
        <v>139607.55028</v>
      </c>
      <c r="M32" s="15">
        <f>SUM(M29:M31)</f>
        <v>133382.49979999999</v>
      </c>
      <c r="N32" s="14">
        <f>SUM(N29:N31)</f>
        <v>131115.4988</v>
      </c>
      <c r="P32" s="15">
        <f>SUM(P29:P31)</f>
        <v>208622.92612000002</v>
      </c>
      <c r="Q32" s="14">
        <f>SUM(Q29:Q31)</f>
        <v>229714.63728000002</v>
      </c>
      <c r="S32" s="15">
        <f>SUM(S29:S31)</f>
        <v>193707.95180000001</v>
      </c>
      <c r="T32" s="14">
        <f>SUM(T29:T31)</f>
        <v>193592.04920000001</v>
      </c>
      <c r="V32" s="15">
        <f>SUM(V29:V31)</f>
        <v>177852.83516000002</v>
      </c>
      <c r="W32" s="14">
        <f>SUM(W29:W31)</f>
        <v>190644.74968000001</v>
      </c>
      <c r="X32" s="28"/>
      <c r="Y32" s="15">
        <f>SUM(Y29:Y31)</f>
        <v>385351.37124000001</v>
      </c>
      <c r="Z32" s="14">
        <f>SUM(Z29:Z31)</f>
        <v>476335.84724000003</v>
      </c>
      <c r="AA32" s="28"/>
      <c r="AB32" s="15">
        <f>SUM(AB29:AB31)</f>
        <v>223163.12216000003</v>
      </c>
      <c r="AC32" s="14">
        <f>SUM(AC29:AC31)</f>
        <v>294066.73032000003</v>
      </c>
      <c r="AD32" s="28"/>
      <c r="AE32" s="15">
        <f>SUM(AE29:AE31)</f>
        <v>163460.253</v>
      </c>
      <c r="AF32" s="14">
        <f>SUM(AF29:AF31)</f>
        <v>200265.80992</v>
      </c>
      <c r="AG32" s="28"/>
      <c r="AH32" s="15">
        <f>SUM(AH29:AH31)</f>
        <v>261579.23528000005</v>
      </c>
      <c r="AI32" s="14">
        <f>SUM(AI29:AI31)</f>
        <v>310551.61808000004</v>
      </c>
      <c r="AJ32" s="15">
        <f>SUM(AJ29:AJ31)</f>
        <v>156751.62052</v>
      </c>
      <c r="AK32" s="14">
        <f>SUM(AK29:AK31)</f>
        <v>157425.09728000002</v>
      </c>
      <c r="AL32" s="15">
        <f>SUM(AL29:AL31)</f>
        <v>131388.51132000002</v>
      </c>
      <c r="AM32" s="14">
        <f>SUM(AM29:AM31)</f>
        <v>157525.89028000002</v>
      </c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">
        <v>7</v>
      </c>
      <c r="C33" s="11"/>
      <c r="D33" s="54">
        <f>E32/D32-1</f>
        <v>-3.3208976418309444E-2</v>
      </c>
      <c r="E33" s="54"/>
      <c r="F33" s="19"/>
      <c r="G33" s="54">
        <f>H32/G32-1</f>
        <v>-5.9522489746667517E-2</v>
      </c>
      <c r="H33" s="54"/>
      <c r="I33" s="19"/>
      <c r="J33" s="54">
        <f>K32/J32-1</f>
        <v>-4.8260124911546298E-2</v>
      </c>
      <c r="K33" s="54"/>
      <c r="L33" s="19"/>
      <c r="M33" s="54">
        <f>N32/M32-1</f>
        <v>-1.6996240161934573E-2</v>
      </c>
      <c r="N33" s="54"/>
      <c r="O33" s="19"/>
      <c r="P33" s="54">
        <f>Q32/P32-1</f>
        <v>0.10109968042471063</v>
      </c>
      <c r="Q33" s="54"/>
      <c r="R33" s="19"/>
      <c r="S33" s="54">
        <f>T32/S32-1</f>
        <v>-5.9833682057441884E-4</v>
      </c>
      <c r="T33" s="54"/>
      <c r="U33" s="19"/>
      <c r="V33" s="54">
        <f>W32/V32-1</f>
        <v>7.1924152957652421E-2</v>
      </c>
      <c r="W33" s="54"/>
      <c r="X33" s="11"/>
      <c r="Y33" s="54">
        <f>Z32/Y32-1</f>
        <v>0.23610782986765111</v>
      </c>
      <c r="Z33" s="54"/>
      <c r="AA33" s="28"/>
      <c r="AB33" s="54">
        <f>AC32/AB32-1</f>
        <v>0.31772099025019296</v>
      </c>
      <c r="AC33" s="54"/>
      <c r="AD33" s="11"/>
      <c r="AE33" s="54">
        <f>AF32/AE32-1</f>
        <v>0.22516517773895783</v>
      </c>
      <c r="AF33" s="54"/>
      <c r="AG33" s="11"/>
      <c r="AH33" s="54">
        <f>AI32/AH32-1</f>
        <v>0.18721815876393588</v>
      </c>
      <c r="AI33" s="54"/>
      <c r="AJ33" s="56">
        <f>AK32/AJ32-1</f>
        <v>4.2964580383020312E-3</v>
      </c>
      <c r="AK33" s="57"/>
      <c r="AL33" s="56">
        <f>AM32/AL32-1</f>
        <v>0.19893199715416343</v>
      </c>
      <c r="AM33" s="57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25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Z46" s="30"/>
      <c r="AA46" s="30"/>
      <c r="AB46" s="30"/>
      <c r="AC46" s="30"/>
      <c r="AD46" s="30"/>
      <c r="AE46" s="30"/>
    </row>
    <row r="47" spans="1:55" s="9" customFormat="1" x14ac:dyDescent="0.25">
      <c r="A47" s="53" t="s">
        <v>14</v>
      </c>
      <c r="B47" s="53"/>
      <c r="C47" s="53"/>
      <c r="D47" s="53"/>
      <c r="E47" s="53"/>
      <c r="Z47" s="30"/>
      <c r="AA47" s="30"/>
      <c r="AB47" s="30"/>
      <c r="AC47" s="30"/>
      <c r="AD47" s="30"/>
      <c r="AE47" s="30"/>
    </row>
    <row r="48" spans="1:55" s="9" customFormat="1" x14ac:dyDescent="0.25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25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25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25">
      <c r="A51" s="51">
        <v>43862</v>
      </c>
      <c r="B51" s="23">
        <f>'Demand Input'!F39</f>
        <v>167.53200000000001</v>
      </c>
      <c r="C51" s="23">
        <f>'Demand Input'!D39</f>
        <v>173.84700000000001</v>
      </c>
      <c r="D51" s="5">
        <f t="shared" ref="D51:D58" si="0">B51/C51</f>
        <v>0.96367495556437555</v>
      </c>
      <c r="E51" s="5"/>
      <c r="F51" s="5"/>
      <c r="I51" s="5"/>
      <c r="L51" s="5"/>
      <c r="O51" s="5"/>
      <c r="R51" s="5"/>
      <c r="U51" s="5"/>
    </row>
    <row r="52" spans="1:31" x14ac:dyDescent="0.25">
      <c r="A52" s="51">
        <v>43891</v>
      </c>
      <c r="B52" s="23">
        <f>'Demand Input'!F40</f>
        <v>190.30600000000001</v>
      </c>
      <c r="C52" s="23">
        <f>'Demand Input'!D40</f>
        <v>195.333</v>
      </c>
      <c r="D52" s="5">
        <f t="shared" si="0"/>
        <v>0.97426446120215227</v>
      </c>
      <c r="E52" s="5"/>
      <c r="F52" s="5"/>
      <c r="I52" s="5"/>
      <c r="L52" s="5"/>
      <c r="O52" s="5"/>
      <c r="R52" s="5"/>
      <c r="U52" s="5"/>
    </row>
    <row r="53" spans="1:31" x14ac:dyDescent="0.25">
      <c r="A53" s="51">
        <v>43922</v>
      </c>
      <c r="B53" s="23">
        <f>'Demand Input'!F41</f>
        <v>178.22</v>
      </c>
      <c r="C53" s="23">
        <f>'Demand Input'!D41</f>
        <v>193.55099999999999</v>
      </c>
      <c r="D53" s="5">
        <f t="shared" si="0"/>
        <v>0.92079090265614749</v>
      </c>
      <c r="E53" s="5"/>
      <c r="F53" s="5"/>
      <c r="I53" s="5"/>
      <c r="L53" s="5"/>
      <c r="O53" s="5"/>
      <c r="R53" s="5"/>
      <c r="U53" s="5"/>
    </row>
    <row r="54" spans="1:31" x14ac:dyDescent="0.25">
      <c r="A54" s="51">
        <v>43952</v>
      </c>
      <c r="B54" s="23">
        <f>'Demand Input'!F42</f>
        <v>240.625</v>
      </c>
      <c r="C54" s="23">
        <f>'Demand Input'!D42</f>
        <v>228.09100000000001</v>
      </c>
      <c r="D54" s="5">
        <f t="shared" si="0"/>
        <v>1.0549517517131319</v>
      </c>
      <c r="E54" s="5"/>
      <c r="F54" s="5"/>
      <c r="I54" s="5"/>
      <c r="L54" s="5"/>
      <c r="O54" s="5"/>
      <c r="R54" s="5"/>
      <c r="U54" s="5"/>
    </row>
    <row r="55" spans="1:31" x14ac:dyDescent="0.25">
      <c r="A55" s="51">
        <v>43983</v>
      </c>
      <c r="B55" s="23">
        <f>'Demand Input'!F43</f>
        <v>348.57</v>
      </c>
      <c r="C55" s="23">
        <f>'Demand Input'!D43</f>
        <v>257.89999999999998</v>
      </c>
      <c r="D55" s="5">
        <f t="shared" si="0"/>
        <v>1.3515703761147733</v>
      </c>
      <c r="E55" s="5"/>
      <c r="F55" s="5"/>
      <c r="I55" s="5"/>
      <c r="L55" s="5"/>
      <c r="O55" s="5"/>
      <c r="R55" s="5"/>
      <c r="U55" s="5"/>
    </row>
    <row r="56" spans="1:31" x14ac:dyDescent="0.25">
      <c r="A56" s="51">
        <v>44013</v>
      </c>
      <c r="B56" s="23">
        <f>'Demand Input'!F44</f>
        <v>381.34</v>
      </c>
      <c r="C56" s="23">
        <f>'Demand Input'!D44</f>
        <v>333.37</v>
      </c>
      <c r="D56" s="5">
        <f t="shared" si="0"/>
        <v>1.1438941716411193</v>
      </c>
      <c r="E56" s="5"/>
      <c r="F56" s="5"/>
      <c r="I56" s="5"/>
      <c r="L56" s="5"/>
      <c r="O56" s="5"/>
      <c r="R56" s="5"/>
      <c r="U56" s="5"/>
    </row>
    <row r="57" spans="1:31" x14ac:dyDescent="0.25">
      <c r="A57" s="51">
        <v>44044</v>
      </c>
      <c r="B57" s="23">
        <f>'Demand Input'!F45</f>
        <v>370.12</v>
      </c>
      <c r="C57" s="23">
        <f>'Demand Input'!D45</f>
        <v>323.49</v>
      </c>
      <c r="D57" s="5">
        <f t="shared" si="0"/>
        <v>1.1441466505919813</v>
      </c>
      <c r="E57" s="5"/>
      <c r="F57" s="5"/>
      <c r="I57" s="5"/>
      <c r="L57" s="5"/>
      <c r="O57" s="5"/>
      <c r="R57" s="5"/>
      <c r="U57" s="5"/>
    </row>
    <row r="58" spans="1:31" s="9" customFormat="1" x14ac:dyDescent="0.25">
      <c r="A58" s="51">
        <v>44075</v>
      </c>
      <c r="B58" s="23">
        <f>'Demand Input'!F46</f>
        <v>320.39</v>
      </c>
      <c r="C58" s="23">
        <f>'Demand Input'!D46</f>
        <v>282.52999999999997</v>
      </c>
      <c r="D58" s="5">
        <f t="shared" si="0"/>
        <v>1.1340034686581957</v>
      </c>
      <c r="E58" s="5"/>
      <c r="F58" s="5"/>
      <c r="I58" s="5"/>
      <c r="L58" s="5"/>
      <c r="O58" s="5"/>
      <c r="R58" s="5"/>
      <c r="U58" s="5"/>
    </row>
    <row r="59" spans="1:31" s="9" customFormat="1" x14ac:dyDescent="0.25">
      <c r="A59" s="51">
        <v>44105</v>
      </c>
      <c r="B59" s="23">
        <f>'Demand Input'!F47</f>
        <v>233.34</v>
      </c>
      <c r="C59" s="23">
        <f>'Demand Input'!D47</f>
        <v>208.72</v>
      </c>
      <c r="D59" s="5">
        <f t="shared" ref="D59:D61" si="1">B59/C59</f>
        <v>1.1179570716749714</v>
      </c>
      <c r="E59" s="5"/>
      <c r="F59" s="5"/>
      <c r="I59" s="5"/>
      <c r="L59" s="5"/>
      <c r="O59" s="5"/>
      <c r="R59" s="5"/>
      <c r="U59" s="5"/>
    </row>
    <row r="60" spans="1:31" s="9" customFormat="1" x14ac:dyDescent="0.25">
      <c r="A60" s="51">
        <v>44136</v>
      </c>
      <c r="B60" s="23">
        <f>'Demand Input'!F48</f>
        <v>187.14</v>
      </c>
      <c r="C60" s="23">
        <f>'Demand Input'!D48</f>
        <v>193.92</v>
      </c>
      <c r="D60" s="5">
        <f t="shared" si="1"/>
        <v>0.96503712871287128</v>
      </c>
      <c r="E60" s="5"/>
      <c r="F60" s="5"/>
      <c r="I60" s="5"/>
      <c r="L60" s="5"/>
      <c r="O60" s="5"/>
      <c r="R60" s="5"/>
      <c r="U60" s="5"/>
    </row>
    <row r="61" spans="1:31" s="9" customFormat="1" x14ac:dyDescent="0.25">
      <c r="A61" s="51">
        <v>44166</v>
      </c>
      <c r="B61" s="23">
        <f>'Demand Input'!F49</f>
        <v>182.02</v>
      </c>
      <c r="C61" s="23">
        <f>'Demand Input'!D49</f>
        <v>188.86</v>
      </c>
      <c r="D61" s="5">
        <f t="shared" si="1"/>
        <v>0.96378269617706236</v>
      </c>
      <c r="E61" s="5"/>
      <c r="F61" s="5"/>
      <c r="I61" s="5"/>
      <c r="L61" s="5"/>
      <c r="O61" s="5"/>
      <c r="R61" s="5"/>
      <c r="U61" s="5"/>
    </row>
    <row r="62" spans="1:31" s="9" customFormat="1" x14ac:dyDescent="0.25">
      <c r="A62" s="51">
        <v>44197</v>
      </c>
      <c r="B62" s="23">
        <f>'Demand Input'!F50</f>
        <v>189.96</v>
      </c>
      <c r="C62" s="23">
        <f>'Demand Input'!D50</f>
        <v>189.94</v>
      </c>
      <c r="D62" s="5">
        <f t="shared" ref="D62:D63" si="2">B62/C62</f>
        <v>1.0001052964093924</v>
      </c>
      <c r="E62" s="5"/>
      <c r="F62" s="5"/>
      <c r="I62" s="5"/>
      <c r="L62" s="5"/>
      <c r="O62" s="5"/>
      <c r="R62" s="5"/>
      <c r="U62" s="5"/>
    </row>
    <row r="63" spans="1:31" s="9" customFormat="1" x14ac:dyDescent="0.25">
      <c r="A63" s="51">
        <v>44228</v>
      </c>
      <c r="B63" s="23">
        <f>'Demand Input'!F51</f>
        <v>178.97</v>
      </c>
      <c r="C63" s="23">
        <f>'Demand Input'!D51</f>
        <v>173.75</v>
      </c>
      <c r="D63" s="5">
        <f t="shared" si="2"/>
        <v>1.0300431654676259</v>
      </c>
      <c r="E63" s="5"/>
      <c r="F63" s="5"/>
      <c r="I63" s="5"/>
      <c r="L63" s="5"/>
      <c r="O63" s="5"/>
      <c r="R63" s="5"/>
      <c r="U63" s="5"/>
    </row>
    <row r="65" spans="1:21" x14ac:dyDescent="0.25">
      <c r="A65" s="7" t="str">
        <f>"Residential Demand ("&amp;'Demand Input'!$C$9&amp;")"</f>
        <v>Residential Demand (Kgal)</v>
      </c>
    </row>
    <row r="66" spans="1:21" x14ac:dyDescent="0.25">
      <c r="A66" s="2" t="s">
        <v>2</v>
      </c>
      <c r="B66" s="3" t="s">
        <v>0</v>
      </c>
      <c r="C66" s="3" t="s">
        <v>1</v>
      </c>
    </row>
    <row r="67" spans="1:21" x14ac:dyDescent="0.25">
      <c r="A67" s="51">
        <v>43862</v>
      </c>
      <c r="B67" s="6">
        <f>'Demand Input'!F18</f>
        <v>104204.22408000001</v>
      </c>
      <c r="C67" s="6">
        <f>'Demand Input'!B18</f>
        <v>111009.96192</v>
      </c>
      <c r="D67" s="4">
        <f>B67/C67</f>
        <v>0.93869254864798002</v>
      </c>
      <c r="E67" s="4"/>
      <c r="F67" s="4"/>
      <c r="I67" s="4"/>
      <c r="L67" s="4"/>
      <c r="O67" s="4"/>
      <c r="R67" s="4"/>
      <c r="U67" s="4"/>
    </row>
    <row r="68" spans="1:21" x14ac:dyDescent="0.25">
      <c r="A68" s="51">
        <v>43891</v>
      </c>
      <c r="B68" s="6">
        <f>'Demand Input'!F19</f>
        <v>116687.49136</v>
      </c>
      <c r="C68" s="6">
        <f>'Demand Input'!B19</f>
        <v>123525.13140000001</v>
      </c>
      <c r="D68" s="4">
        <f t="shared" ref="D68:D74" si="3">B68/C68</f>
        <v>0.94464575781054372</v>
      </c>
      <c r="E68" s="4"/>
      <c r="F68" s="4"/>
      <c r="I68" s="4"/>
      <c r="L68" s="4"/>
      <c r="O68" s="4"/>
      <c r="R68" s="4"/>
      <c r="U68" s="4"/>
    </row>
    <row r="69" spans="1:21" x14ac:dyDescent="0.25">
      <c r="A69" s="51">
        <v>43922</v>
      </c>
      <c r="B69" s="6">
        <f>'Demand Input'!F20</f>
        <v>109598.96464000001</v>
      </c>
      <c r="C69" s="6">
        <f>'Demand Input'!B20</f>
        <v>113258.78652000001</v>
      </c>
      <c r="D69" s="4">
        <f t="shared" si="3"/>
        <v>0.9676861990804243</v>
      </c>
      <c r="E69" s="4"/>
      <c r="F69" s="4"/>
      <c r="I69" s="4"/>
      <c r="L69" s="4"/>
      <c r="O69" s="4"/>
      <c r="R69" s="4"/>
      <c r="U69" s="4"/>
    </row>
    <row r="70" spans="1:21" x14ac:dyDescent="0.25">
      <c r="A70" s="51">
        <v>43952</v>
      </c>
      <c r="B70" s="6">
        <f>'Demand Input'!F21</f>
        <v>109656.01460000001</v>
      </c>
      <c r="C70" s="6">
        <f>'Demand Input'!B21</f>
        <v>107128.05136</v>
      </c>
      <c r="D70" s="4">
        <f t="shared" si="3"/>
        <v>1.0235975844599738</v>
      </c>
      <c r="E70" s="4"/>
      <c r="F70" s="4"/>
      <c r="I70" s="4"/>
      <c r="L70" s="4"/>
      <c r="O70" s="4"/>
      <c r="R70" s="4"/>
      <c r="U70" s="4"/>
    </row>
    <row r="71" spans="1:21" x14ac:dyDescent="0.25">
      <c r="A71" s="51">
        <v>43983</v>
      </c>
      <c r="B71" s="6">
        <f>'Demand Input'!F22</f>
        <v>154696.23620000001</v>
      </c>
      <c r="C71" s="6">
        <f>'Demand Input'!B22</f>
        <v>144930.45292000001</v>
      </c>
      <c r="D71" s="4">
        <f t="shared" si="3"/>
        <v>1.0673825485482378</v>
      </c>
      <c r="E71" s="4"/>
      <c r="F71" s="4"/>
      <c r="I71" s="4"/>
      <c r="L71" s="4"/>
      <c r="O71" s="4"/>
      <c r="R71" s="4"/>
      <c r="U71" s="4"/>
    </row>
    <row r="72" spans="1:21" x14ac:dyDescent="0.25">
      <c r="A72" s="51">
        <v>44013</v>
      </c>
      <c r="B72" s="6">
        <f>'Demand Input'!F23</f>
        <v>159889.35336000001</v>
      </c>
      <c r="C72" s="6">
        <f>'Demand Input'!B23</f>
        <v>151028.01428</v>
      </c>
      <c r="D72" s="4">
        <f t="shared" si="3"/>
        <v>1.0586734793690091</v>
      </c>
      <c r="E72" s="4"/>
      <c r="F72" s="4"/>
      <c r="I72" s="4"/>
      <c r="L72" s="4"/>
      <c r="O72" s="4"/>
      <c r="R72" s="4"/>
      <c r="U72" s="4"/>
    </row>
    <row r="73" spans="1:21" x14ac:dyDescent="0.25">
      <c r="A73" s="51">
        <v>44044</v>
      </c>
      <c r="B73" s="6">
        <f>'Demand Input'!F24</f>
        <v>160013.98512</v>
      </c>
      <c r="C73" s="6">
        <f>'Demand Input'!B24</f>
        <v>143816.33684</v>
      </c>
      <c r="D73" s="4">
        <f t="shared" si="3"/>
        <v>1.1126273178409514</v>
      </c>
      <c r="E73" s="4"/>
      <c r="F73" s="4"/>
      <c r="I73" s="4"/>
      <c r="L73" s="4"/>
      <c r="O73" s="4"/>
      <c r="R73" s="4"/>
      <c r="U73" s="4"/>
    </row>
    <row r="74" spans="1:21" x14ac:dyDescent="0.25">
      <c r="A74" s="51">
        <v>44075</v>
      </c>
      <c r="B74" s="6">
        <f>'Demand Input'!F25</f>
        <v>337995.64084000001</v>
      </c>
      <c r="C74" s="6">
        <f>'Demand Input'!B25</f>
        <v>260607.45612000002</v>
      </c>
      <c r="D74" s="4">
        <f t="shared" si="3"/>
        <v>1.2969530721498836</v>
      </c>
    </row>
    <row r="75" spans="1:21" s="9" customFormat="1" x14ac:dyDescent="0.25">
      <c r="A75" s="51">
        <v>44105</v>
      </c>
      <c r="B75" s="6">
        <f>'Demand Input'!F26</f>
        <v>243049.08364000003</v>
      </c>
      <c r="C75" s="6">
        <f>'Demand Input'!B26</f>
        <v>173601.36772000001</v>
      </c>
      <c r="D75" s="4">
        <f t="shared" ref="D75:D77" si="4">B75/C75</f>
        <v>1.4000412947898635</v>
      </c>
      <c r="E75" s="5"/>
      <c r="F75" s="5"/>
      <c r="I75" s="5"/>
      <c r="L75" s="5"/>
      <c r="O75" s="5"/>
      <c r="R75" s="5"/>
      <c r="U75" s="5"/>
    </row>
    <row r="76" spans="1:21" s="9" customFormat="1" x14ac:dyDescent="0.25">
      <c r="A76" s="51">
        <v>44136</v>
      </c>
      <c r="B76" s="6">
        <f>'Demand Input'!F27</f>
        <v>162175.56299999999</v>
      </c>
      <c r="C76" s="6">
        <f>'Demand Input'!B27</f>
        <v>131198.83348</v>
      </c>
      <c r="D76" s="4">
        <f t="shared" si="4"/>
        <v>1.2361052205904111</v>
      </c>
      <c r="E76" s="5"/>
      <c r="F76" s="5"/>
      <c r="I76" s="5"/>
      <c r="L76" s="5"/>
      <c r="O76" s="5"/>
      <c r="R76" s="5"/>
      <c r="U76" s="5"/>
    </row>
    <row r="77" spans="1:21" s="9" customFormat="1" x14ac:dyDescent="0.25">
      <c r="A77" s="51">
        <v>44166</v>
      </c>
      <c r="B77" s="6">
        <f>'Demand Input'!F28</f>
        <v>207737.90356000001</v>
      </c>
      <c r="C77" s="6">
        <f>'Demand Input'!B28</f>
        <v>170629.38420000003</v>
      </c>
      <c r="D77" s="4">
        <f t="shared" si="4"/>
        <v>1.2174802396081084</v>
      </c>
      <c r="E77" s="5"/>
      <c r="F77" s="5"/>
      <c r="I77" s="5"/>
      <c r="L77" s="5"/>
      <c r="O77" s="5"/>
      <c r="R77" s="5"/>
      <c r="U77" s="5"/>
    </row>
    <row r="78" spans="1:21" s="9" customFormat="1" x14ac:dyDescent="0.25">
      <c r="A78" s="51">
        <v>44197</v>
      </c>
      <c r="B78" s="6">
        <f>'Demand Input'!F29</f>
        <v>124779.79668000001</v>
      </c>
      <c r="C78" s="6">
        <f>'Demand Input'!B29</f>
        <v>117899.62536000001</v>
      </c>
      <c r="D78" s="4">
        <f t="shared" ref="D78" si="5">B78/C78</f>
        <v>1.0583561762727556</v>
      </c>
      <c r="E78" s="5"/>
      <c r="F78" s="5"/>
      <c r="I78" s="5"/>
      <c r="L78" s="5"/>
      <c r="O78" s="5"/>
      <c r="R78" s="5"/>
      <c r="U78" s="5"/>
    </row>
    <row r="79" spans="1:21" s="9" customFormat="1" x14ac:dyDescent="0.25">
      <c r="A79" s="51">
        <v>44228</v>
      </c>
      <c r="B79" s="6">
        <f>'Demand Input'!F30</f>
        <v>124538.23756000001</v>
      </c>
      <c r="C79" s="6">
        <f>'Demand Input'!B30</f>
        <v>104204.22408000001</v>
      </c>
      <c r="D79" s="4">
        <f t="shared" ref="D79" si="6">B79/C79</f>
        <v>1.1951361728329659</v>
      </c>
      <c r="E79" s="5"/>
      <c r="F79" s="5"/>
      <c r="I79" s="5"/>
      <c r="L79" s="5"/>
      <c r="O79" s="5"/>
      <c r="R79" s="5"/>
      <c r="U79" s="5"/>
    </row>
    <row r="81" spans="1:21" x14ac:dyDescent="0.25">
      <c r="A81" s="7" t="str">
        <f>"Non-Residential Demand ("&amp;'Demand Input'!$C$9&amp;")"</f>
        <v>Non-Residential Demand (Kgal)</v>
      </c>
    </row>
    <row r="82" spans="1:21" x14ac:dyDescent="0.25">
      <c r="A82" s="2" t="s">
        <v>2</v>
      </c>
      <c r="B82" s="3" t="s">
        <v>0</v>
      </c>
      <c r="C82" s="3" t="s">
        <v>1</v>
      </c>
    </row>
    <row r="83" spans="1:21" x14ac:dyDescent="0.25">
      <c r="A83" s="51">
        <v>43862</v>
      </c>
      <c r="B83" s="6">
        <f>'Demand Input'!G18</f>
        <v>27184.287240000001</v>
      </c>
      <c r="C83" s="6">
        <f>'Demand Input'!C18</f>
        <v>24891.70464</v>
      </c>
      <c r="D83" s="4">
        <f>B83/C83</f>
        <v>1.092102273956598</v>
      </c>
      <c r="E83" s="4"/>
      <c r="F83" s="4"/>
      <c r="I83" s="4"/>
      <c r="L83" s="4"/>
      <c r="O83" s="4"/>
      <c r="R83" s="4"/>
      <c r="U83" s="4"/>
    </row>
    <row r="84" spans="1:21" x14ac:dyDescent="0.25">
      <c r="A84" s="51">
        <v>43891</v>
      </c>
      <c r="B84" s="6">
        <f>'Demand Input'!G19</f>
        <v>30591.783840000004</v>
      </c>
      <c r="C84" s="6">
        <f>'Demand Input'!C19</f>
        <v>42416.79552</v>
      </c>
      <c r="D84" s="4">
        <f t="shared" ref="D84:D90" si="7">B84/C84</f>
        <v>0.72121864617461806</v>
      </c>
      <c r="E84" s="4"/>
      <c r="F84" s="4"/>
      <c r="I84" s="4"/>
      <c r="L84" s="4"/>
      <c r="O84" s="4"/>
      <c r="R84" s="4"/>
      <c r="U84" s="4"/>
    </row>
    <row r="85" spans="1:21" x14ac:dyDescent="0.25">
      <c r="A85" s="51">
        <v>43922</v>
      </c>
      <c r="B85" s="6">
        <f>'Demand Input'!G20</f>
        <v>30008.585640000001</v>
      </c>
      <c r="C85" s="6">
        <f>'Demand Input'!C20</f>
        <v>33427.880640000003</v>
      </c>
      <c r="D85" s="4">
        <f t="shared" si="7"/>
        <v>0.89771128367891639</v>
      </c>
      <c r="E85" s="4"/>
      <c r="F85" s="4"/>
      <c r="I85" s="4"/>
      <c r="L85" s="4"/>
      <c r="O85" s="4"/>
      <c r="R85" s="4"/>
      <c r="U85" s="4"/>
    </row>
    <row r="86" spans="1:21" x14ac:dyDescent="0.25">
      <c r="A86" s="51">
        <v>43952</v>
      </c>
      <c r="B86" s="6">
        <f>'Demand Input'!G21</f>
        <v>21459.484200000003</v>
      </c>
      <c r="C86" s="6">
        <f>'Demand Input'!C21</f>
        <v>26254.44844</v>
      </c>
      <c r="D86" s="4">
        <f t="shared" si="7"/>
        <v>0.81736564563685055</v>
      </c>
      <c r="E86" s="4"/>
      <c r="F86" s="4"/>
      <c r="I86" s="4"/>
      <c r="L86" s="4"/>
      <c r="O86" s="4"/>
      <c r="R86" s="4"/>
      <c r="U86" s="4"/>
    </row>
    <row r="87" spans="1:21" x14ac:dyDescent="0.25">
      <c r="A87" s="51">
        <v>43983</v>
      </c>
      <c r="B87" s="6">
        <f>'Demand Input'!G22</f>
        <v>47687.401080000003</v>
      </c>
      <c r="C87" s="6">
        <f>'Demand Input'!C22</f>
        <v>33248.873200000002</v>
      </c>
      <c r="D87" s="4">
        <f t="shared" si="7"/>
        <v>1.4342561563860756</v>
      </c>
      <c r="E87" s="4"/>
      <c r="F87" s="4"/>
      <c r="I87" s="4"/>
      <c r="L87" s="4"/>
      <c r="O87" s="4"/>
      <c r="R87" s="4"/>
      <c r="U87" s="4"/>
    </row>
    <row r="88" spans="1:21" x14ac:dyDescent="0.25">
      <c r="A88" s="51">
        <v>44013</v>
      </c>
      <c r="B88" s="6">
        <f>'Demand Input'!G23</f>
        <v>33702.69584</v>
      </c>
      <c r="C88" s="6">
        <f>'Demand Input'!C23</f>
        <v>42679.937520000007</v>
      </c>
      <c r="D88" s="4">
        <f t="shared" si="7"/>
        <v>0.78966132094750063</v>
      </c>
      <c r="E88" s="4"/>
      <c r="F88" s="4"/>
      <c r="I88" s="4"/>
      <c r="L88" s="4"/>
      <c r="O88" s="4"/>
      <c r="R88" s="4"/>
      <c r="U88" s="4"/>
    </row>
    <row r="89" spans="1:21" x14ac:dyDescent="0.25">
      <c r="A89" s="51">
        <v>44044</v>
      </c>
      <c r="B89" s="6">
        <f>'Demand Input'!G24</f>
        <v>30630.764560000003</v>
      </c>
      <c r="C89" s="6">
        <f>'Demand Input'!C24</f>
        <v>34036.498319999999</v>
      </c>
      <c r="D89" s="4">
        <f t="shared" si="7"/>
        <v>0.89993877372518161</v>
      </c>
      <c r="E89" s="4"/>
      <c r="F89" s="4"/>
      <c r="I89" s="4"/>
      <c r="L89" s="4"/>
      <c r="O89" s="4"/>
      <c r="R89" s="4"/>
      <c r="U89" s="4"/>
    </row>
    <row r="90" spans="1:21" x14ac:dyDescent="0.25">
      <c r="A90" s="51">
        <v>44075</v>
      </c>
      <c r="B90" s="6">
        <f>'Demand Input'!G25</f>
        <v>87939.966400000005</v>
      </c>
      <c r="C90" s="6">
        <f>'Demand Input'!C25</f>
        <v>86367.775120000006</v>
      </c>
      <c r="D90" s="4">
        <f t="shared" si="7"/>
        <v>1.0182034477305406</v>
      </c>
    </row>
    <row r="91" spans="1:21" s="9" customFormat="1" x14ac:dyDescent="0.25">
      <c r="A91" s="51">
        <v>44105</v>
      </c>
      <c r="B91" s="6">
        <f>'Demand Input'!G26</f>
        <v>51017.646679999998</v>
      </c>
      <c r="C91" s="6">
        <f>'Demand Input'!C26</f>
        <v>49561.754440000004</v>
      </c>
      <c r="D91" s="4">
        <f t="shared" ref="D91:D93" si="8">B91/C91</f>
        <v>1.0293753168436059</v>
      </c>
      <c r="E91" s="5"/>
      <c r="F91" s="5"/>
      <c r="I91" s="5"/>
      <c r="L91" s="5"/>
      <c r="O91" s="5"/>
      <c r="R91" s="5"/>
      <c r="U91" s="5"/>
    </row>
    <row r="92" spans="1:21" s="9" customFormat="1" x14ac:dyDescent="0.25">
      <c r="A92" s="51">
        <v>44136</v>
      </c>
      <c r="B92" s="6">
        <f>'Demand Input'!G27</f>
        <v>38090.246920000005</v>
      </c>
      <c r="C92" s="6">
        <f>'Demand Input'!C27</f>
        <v>32261.419520000003</v>
      </c>
      <c r="D92" s="4">
        <f t="shared" si="8"/>
        <v>1.1806748582896827</v>
      </c>
      <c r="E92" s="5"/>
      <c r="F92" s="5"/>
      <c r="I92" s="5"/>
      <c r="L92" s="5"/>
      <c r="O92" s="5"/>
      <c r="R92" s="5"/>
      <c r="U92" s="5"/>
    </row>
    <row r="93" spans="1:21" s="9" customFormat="1" x14ac:dyDescent="0.25">
      <c r="A93" s="51">
        <v>44166</v>
      </c>
      <c r="B93" s="6">
        <f>'Demand Input'!G28</f>
        <v>72201.814520000014</v>
      </c>
      <c r="C93" s="6">
        <f>'Demand Input'!C28</f>
        <v>66164.871080000012</v>
      </c>
      <c r="D93" s="4">
        <f t="shared" si="8"/>
        <v>1.0912409159340872</v>
      </c>
      <c r="E93" s="5"/>
      <c r="F93" s="5"/>
      <c r="I93" s="5"/>
      <c r="L93" s="5"/>
      <c r="O93" s="5"/>
      <c r="R93" s="5"/>
      <c r="U93" s="5"/>
    </row>
    <row r="94" spans="1:21" s="9" customFormat="1" x14ac:dyDescent="0.25">
      <c r="A94" s="51">
        <v>44197</v>
      </c>
      <c r="B94" s="6">
        <f>'Demand Input'!G29</f>
        <v>32645.300600000002</v>
      </c>
      <c r="C94" s="6">
        <f>'Demand Input'!C29</f>
        <v>38851.995160000006</v>
      </c>
      <c r="D94" s="4">
        <f t="shared" ref="D94" si="9">B94/C94</f>
        <v>0.84024772641817647</v>
      </c>
      <c r="E94" s="5"/>
      <c r="F94" s="5"/>
      <c r="I94" s="5"/>
      <c r="L94" s="5"/>
      <c r="O94" s="5"/>
      <c r="R94" s="5"/>
      <c r="U94" s="5"/>
    </row>
    <row r="95" spans="1:21" x14ac:dyDescent="0.25">
      <c r="A95" s="51">
        <v>44228</v>
      </c>
      <c r="B95" s="6">
        <f>'Demand Input'!G30</f>
        <v>32987.652720000006</v>
      </c>
      <c r="C95" s="6">
        <f>'Demand Input'!C30</f>
        <v>27184.287240000001</v>
      </c>
      <c r="D95" s="4">
        <f t="shared" ref="D95" si="10">B95/C95</f>
        <v>1.2134823484156212</v>
      </c>
    </row>
    <row r="96" spans="1:21" s="9" customFormat="1" x14ac:dyDescent="0.25">
      <c r="A96" s="1"/>
      <c r="B96" s="6"/>
      <c r="C96" s="6"/>
      <c r="D96" s="4"/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2</v>
      </c>
      <c r="B98" s="3" t="s">
        <v>0</v>
      </c>
      <c r="C98" s="3" t="s">
        <v>1</v>
      </c>
    </row>
    <row r="99" spans="1:21" x14ac:dyDescent="0.25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25">
      <c r="A100" s="51">
        <v>43891</v>
      </c>
      <c r="B100" s="6">
        <f>'Demand Input'!H19</f>
        <v>21965.02</v>
      </c>
      <c r="C100" s="6">
        <f>'Demand Input'!D19</f>
        <v>14013.78</v>
      </c>
      <c r="D100" s="4">
        <f t="shared" ref="D100:D106" si="11">B100/C100</f>
        <v>1.5673872431278355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51">
        <v>43983</v>
      </c>
      <c r="B103" s="6">
        <f>'Demand Input'!H22</f>
        <v>27331</v>
      </c>
      <c r="C103" s="6">
        <f>'Demand Input'!D22</f>
        <v>30443.599999999999</v>
      </c>
      <c r="D103" s="4">
        <f t="shared" si="11"/>
        <v>0.89775847797238173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51">
        <v>44075</v>
      </c>
      <c r="B106" s="6">
        <f>'Demand Input'!H25</f>
        <v>50400.24</v>
      </c>
      <c r="C106" s="6">
        <f>'Demand Input'!D25</f>
        <v>38376.14</v>
      </c>
      <c r="D106" s="4">
        <f t="shared" si="11"/>
        <v>1.3133222882759965</v>
      </c>
    </row>
    <row r="107" spans="1:21" s="9" customFormat="1" x14ac:dyDescent="0.25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25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25">
      <c r="A109" s="51">
        <v>44166</v>
      </c>
      <c r="B109" s="6">
        <f>'Demand Input'!H28</f>
        <v>30611.9</v>
      </c>
      <c r="C109" s="6">
        <f>'Demand Input'!D28</f>
        <v>24784.98</v>
      </c>
      <c r="D109" s="4">
        <f t="shared" si="12"/>
        <v>1.2350988380866155</v>
      </c>
      <c r="E109" s="5"/>
      <c r="F109" s="5"/>
      <c r="I109" s="5"/>
      <c r="L109" s="5"/>
      <c r="O109" s="5"/>
      <c r="R109" s="5"/>
      <c r="U109" s="5"/>
    </row>
    <row r="110" spans="1:21" x14ac:dyDescent="0.25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25">
      <c r="A111" s="51">
        <v>44228</v>
      </c>
    </row>
  </sheetData>
  <mergeCells count="29">
    <mergeCell ref="AL28:AM28"/>
    <mergeCell ref="AL33:AM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honeticPr fontId="19" type="noConversion"/>
  <pageMargins left="0.25" right="0.25" top="0.75" bottom="0.75" header="0.3" footer="0.3"/>
  <pageSetup scale="4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3"/>
  <sheetViews>
    <sheetView showGridLines="0" topLeftCell="A16" zoomScaleNormal="100" workbookViewId="0">
      <selection activeCell="B30" sqref="B30"/>
    </sheetView>
  </sheetViews>
  <sheetFormatPr defaultColWidth="9.140625" defaultRowHeight="15" x14ac:dyDescent="0.25"/>
  <cols>
    <col min="1" max="1" width="11.85546875" style="8" customWidth="1"/>
    <col min="2" max="2" width="26.85546875" style="8" customWidth="1"/>
    <col min="3" max="4" width="18.28515625" style="8" customWidth="1"/>
    <col min="5" max="5" width="1.85546875" style="8" customWidth="1"/>
    <col min="6" max="8" width="18.28515625" style="8" customWidth="1"/>
    <col min="9" max="9" width="9.140625" style="8"/>
    <col min="10" max="10" width="10" style="8" bestFit="1" customWidth="1"/>
    <col min="11" max="11" width="12" style="8" bestFit="1" customWidth="1"/>
    <col min="12" max="16" width="9.140625" style="8"/>
    <col min="17" max="17" width="11.85546875" style="8" bestFit="1" customWidth="1"/>
    <col min="18" max="18" width="14.28515625" style="8" bestFit="1" customWidth="1"/>
    <col min="19" max="16384" width="9.140625" style="8"/>
  </cols>
  <sheetData>
    <row r="1" spans="1:71" ht="15" customHeight="1" x14ac:dyDescent="0.25">
      <c r="A1" s="63" t="s">
        <v>12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25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25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25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25">
      <c r="A5" s="68" t="str">
        <f>C8</f>
        <v>Kent County Water Authority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25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x14ac:dyDescent="0.4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25">
      <c r="A8" s="32"/>
      <c r="B8" s="33" t="s">
        <v>10</v>
      </c>
      <c r="C8" s="66" t="s">
        <v>38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25">
      <c r="A9" s="32"/>
      <c r="B9" s="33" t="s">
        <v>8</v>
      </c>
      <c r="C9" s="66" t="s">
        <v>35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25">
      <c r="A10" s="32"/>
      <c r="B10" s="33" t="s">
        <v>39</v>
      </c>
      <c r="C10" s="66" t="s">
        <v>34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25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25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25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25" x14ac:dyDescent="0.35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25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25">
      <c r="A16" s="34"/>
      <c r="B16" s="67" t="s">
        <v>48</v>
      </c>
      <c r="C16" s="67"/>
      <c r="D16" s="67"/>
      <c r="E16" s="34"/>
      <c r="F16" s="67" t="s">
        <v>49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25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25">
      <c r="A18" s="51">
        <v>43862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25">
      <c r="A19" s="51">
        <v>43891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(7026308*7.48)/1000-21965</f>
        <v>30591.783840000004</v>
      </c>
      <c r="H19" s="21">
        <f>21965020/1000</f>
        <v>21965.02</v>
      </c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25">
      <c r="A20" s="51">
        <v>43922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25">
      <c r="A21" s="51">
        <v>43952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25">
      <c r="A22" s="51">
        <v>43983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25">
      <c r="A23" s="51">
        <v>44013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25">
      <c r="A24" s="51">
        <v>44044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>
        <f>(21392244*7.48)/1000</f>
        <v>160013.98512</v>
      </c>
      <c r="G24" s="21">
        <f>(4095022*7.48)/1000</f>
        <v>30630.764560000003</v>
      </c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25">
      <c r="A25" s="51">
        <v>44075</v>
      </c>
      <c r="B25" s="21">
        <f>(34840569*7.48)/1000</f>
        <v>260607.45612000002</v>
      </c>
      <c r="C25" s="21">
        <f>(11546494*7.48)/1000</f>
        <v>86367.775120000006</v>
      </c>
      <c r="D25" s="21">
        <f>38376140/1000</f>
        <v>38376.14</v>
      </c>
      <c r="E25" s="22"/>
      <c r="F25" s="21">
        <f>(45186583*7.48)/1000</f>
        <v>337995.64084000001</v>
      </c>
      <c r="G25" s="21">
        <f>(11756680*7.48)/1000</f>
        <v>87939.966400000005</v>
      </c>
      <c r="H25" s="21">
        <f>50400240/1000</f>
        <v>50400.24</v>
      </c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25">
      <c r="A26" s="51">
        <v>44105</v>
      </c>
      <c r="B26" s="21">
        <f>(23208739*7.48)/1000</f>
        <v>173601.36772000001</v>
      </c>
      <c r="C26" s="21">
        <f>(6625903*7.48)/1000</f>
        <v>49561.754440000004</v>
      </c>
      <c r="D26" s="21"/>
      <c r="E26" s="22"/>
      <c r="F26" s="21">
        <f>(32493193*7.48)/1000</f>
        <v>243049.08364000003</v>
      </c>
      <c r="G26" s="21">
        <f>(6820541*7.48)/1000</f>
        <v>51017.646679999998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25">
      <c r="A27" s="51">
        <v>44136</v>
      </c>
      <c r="B27" s="21">
        <f>(17539951*7.48)/1000</f>
        <v>131198.83348</v>
      </c>
      <c r="C27" s="21">
        <f>(4313024*7.48)/1000</f>
        <v>32261.419520000003</v>
      </c>
      <c r="D27" s="21"/>
      <c r="E27" s="22"/>
      <c r="F27" s="21">
        <f>(21681225*7.48)/1000</f>
        <v>162175.56299999999</v>
      </c>
      <c r="G27" s="21">
        <f>(5092279*7.48)/1000</f>
        <v>38090.246920000005</v>
      </c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25">
      <c r="A28" s="51">
        <v>44166</v>
      </c>
      <c r="B28" s="21">
        <f>(22811415*7.48)/1000</f>
        <v>170629.38420000003</v>
      </c>
      <c r="C28" s="21">
        <f>(8845571*7.48)/1000</f>
        <v>66164.871080000012</v>
      </c>
      <c r="D28" s="21">
        <f>24784980/1000</f>
        <v>24784.98</v>
      </c>
      <c r="E28" s="22"/>
      <c r="F28" s="21">
        <f>(27772447*7.48)/1000</f>
        <v>207737.90356000001</v>
      </c>
      <c r="G28" s="21">
        <f>(9652649*7.48)/1000</f>
        <v>72201.814520000014</v>
      </c>
      <c r="H28" s="21">
        <f>30611900/1000</f>
        <v>30611.9</v>
      </c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25">
      <c r="A29" s="51">
        <v>44197</v>
      </c>
      <c r="B29" s="21">
        <f>(15761982*7.48)/1000</f>
        <v>117899.62536000001</v>
      </c>
      <c r="C29" s="21">
        <f>(5194117*7.48)/1000</f>
        <v>38851.995160000006</v>
      </c>
      <c r="D29" s="21"/>
      <c r="E29" s="22"/>
      <c r="F29" s="21">
        <f>(16681791*7.48)/1000</f>
        <v>124779.79668000001</v>
      </c>
      <c r="G29" s="21">
        <f>(4364345*7.48)/1000</f>
        <v>32645.300600000002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25">
      <c r="A30" s="51">
        <v>44228</v>
      </c>
      <c r="B30" s="21">
        <f>(13931046*7.48)/1000</f>
        <v>104204.22408000001</v>
      </c>
      <c r="C30" s="21">
        <f>(3634263*7.48)/1000</f>
        <v>27184.287240000001</v>
      </c>
      <c r="D30" s="21"/>
      <c r="E30" s="22"/>
      <c r="F30" s="21">
        <f>(16649497*7.48)/1000</f>
        <v>124538.23756000001</v>
      </c>
      <c r="G30" s="21">
        <f>(4410114*7.48)/1000</f>
        <v>32987.652720000006</v>
      </c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25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25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25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25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25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25" x14ac:dyDescent="0.35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25">
      <c r="A37" s="35"/>
      <c r="B37" s="60" t="s">
        <v>11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25" x14ac:dyDescent="0.35">
      <c r="A38" s="35"/>
      <c r="B38" s="32"/>
      <c r="C38" s="36" t="s">
        <v>2</v>
      </c>
      <c r="D38" s="37" t="s">
        <v>48</v>
      </c>
      <c r="E38" s="38"/>
      <c r="F38" s="37" t="s">
        <v>49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25">
      <c r="A39" s="35"/>
      <c r="B39" s="32"/>
      <c r="C39" s="51">
        <v>43862</v>
      </c>
      <c r="D39" s="46">
        <v>173.84700000000001</v>
      </c>
      <c r="E39" s="47"/>
      <c r="F39" s="46">
        <v>167.53200000000001</v>
      </c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25">
      <c r="A40" s="35"/>
      <c r="B40" s="32"/>
      <c r="C40" s="51">
        <v>43891</v>
      </c>
      <c r="D40" s="46">
        <v>195.333</v>
      </c>
      <c r="E40" s="47"/>
      <c r="F40" s="46">
        <v>190.30600000000001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25">
      <c r="A41" s="35"/>
      <c r="B41" s="32"/>
      <c r="C41" s="51">
        <v>43922</v>
      </c>
      <c r="D41" s="46">
        <v>193.55099999999999</v>
      </c>
      <c r="E41" s="47"/>
      <c r="F41" s="46">
        <v>178.22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25">
      <c r="A42" s="35"/>
      <c r="B42" s="32"/>
      <c r="C42" s="51">
        <v>43952</v>
      </c>
      <c r="D42" s="46">
        <v>228.09100000000001</v>
      </c>
      <c r="E42" s="47"/>
      <c r="F42" s="46">
        <v>240.625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25">
      <c r="A43" s="35"/>
      <c r="B43" s="32"/>
      <c r="C43" s="51">
        <v>43983</v>
      </c>
      <c r="D43" s="20">
        <v>257.89999999999998</v>
      </c>
      <c r="E43" s="40"/>
      <c r="F43" s="20">
        <v>348.57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25">
      <c r="A44" s="35"/>
      <c r="B44" s="32"/>
      <c r="C44" s="51">
        <v>44013</v>
      </c>
      <c r="D44" s="20">
        <v>333.37</v>
      </c>
      <c r="E44" s="40"/>
      <c r="F44" s="20">
        <v>381.34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25">
      <c r="A45" s="35"/>
      <c r="B45" s="32"/>
      <c r="C45" s="51">
        <v>44044</v>
      </c>
      <c r="D45" s="46">
        <v>323.49</v>
      </c>
      <c r="E45" s="47"/>
      <c r="F45" s="46">
        <v>370.12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25">
      <c r="A46" s="35"/>
      <c r="B46" s="32"/>
      <c r="C46" s="51">
        <v>44075</v>
      </c>
      <c r="D46" s="46">
        <v>282.52999999999997</v>
      </c>
      <c r="E46" s="47"/>
      <c r="F46" s="46">
        <v>320.39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25">
      <c r="A47" s="35"/>
      <c r="B47" s="32"/>
      <c r="C47" s="51">
        <v>44105</v>
      </c>
      <c r="D47" s="46">
        <v>208.72</v>
      </c>
      <c r="E47" s="47"/>
      <c r="F47" s="46">
        <v>233.34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25">
      <c r="A48" s="35"/>
      <c r="B48" s="32"/>
      <c r="C48" s="51">
        <v>44136</v>
      </c>
      <c r="D48" s="46">
        <v>193.92</v>
      </c>
      <c r="E48" s="47"/>
      <c r="F48" s="46">
        <v>187.14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25">
      <c r="A49" s="35"/>
      <c r="B49" s="32"/>
      <c r="C49" s="51">
        <v>44166</v>
      </c>
      <c r="D49" s="46">
        <v>188.86</v>
      </c>
      <c r="E49" s="47"/>
      <c r="F49" s="46">
        <v>182.02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25">
      <c r="A50" s="35"/>
      <c r="B50" s="32"/>
      <c r="C50" s="51">
        <v>44197</v>
      </c>
      <c r="D50" s="46">
        <v>189.94</v>
      </c>
      <c r="E50" s="47"/>
      <c r="F50" s="46">
        <v>189.96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25">
      <c r="A51" s="35"/>
      <c r="B51" s="32"/>
      <c r="C51" s="51">
        <v>44228</v>
      </c>
      <c r="D51" s="46">
        <v>173.75</v>
      </c>
      <c r="E51" s="47"/>
      <c r="F51" s="46">
        <v>178.97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25">
      <c r="A52" s="35"/>
      <c r="B52" s="32"/>
      <c r="C52" s="51">
        <v>44256</v>
      </c>
      <c r="D52" s="46"/>
      <c r="E52" s="47"/>
      <c r="F52" s="46"/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25">
      <c r="A53" s="35"/>
      <c r="B53" s="32"/>
      <c r="C53" s="51">
        <v>44287</v>
      </c>
      <c r="D53" s="20"/>
      <c r="E53" s="40"/>
      <c r="F53" s="20"/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25">
      <c r="A54" s="35"/>
      <c r="B54" s="32"/>
      <c r="C54" s="32"/>
      <c r="D54" s="28"/>
      <c r="E54" s="28"/>
      <c r="F54" s="28"/>
      <c r="G54" s="28"/>
      <c r="H54" s="28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25">
      <c r="A55" s="35"/>
      <c r="B55" s="32"/>
      <c r="C55" s="32"/>
      <c r="D55" s="28" t="s">
        <v>43</v>
      </c>
      <c r="E55" s="28"/>
      <c r="F55" s="28"/>
      <c r="G55" s="28"/>
      <c r="H55" s="28"/>
      <c r="I55" s="28"/>
      <c r="J55" s="28">
        <v>173745800</v>
      </c>
      <c r="K55" s="30">
        <v>178974261.75820923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25">
      <c r="A56" s="32"/>
      <c r="B56" s="32"/>
      <c r="C56" s="32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25">
      <c r="A57" s="32"/>
      <c r="B57" s="32"/>
      <c r="C57" s="3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25">
      <c r="A58" s="32"/>
      <c r="B58" s="32"/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25">
      <c r="A59" s="32"/>
      <c r="B59" s="32"/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25">
      <c r="A60" s="32"/>
      <c r="B60" s="32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25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25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25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25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25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25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25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25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25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25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25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25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x14ac:dyDescent="0.25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x14ac:dyDescent="0.25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x14ac:dyDescent="0.25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x14ac:dyDescent="0.25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x14ac:dyDescent="0.25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x14ac:dyDescent="0.25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x14ac:dyDescent="0.25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x14ac:dyDescent="0.25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4:71" x14ac:dyDescent="0.25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4:71" x14ac:dyDescent="0.25"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4:71" x14ac:dyDescent="0.25"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4:71" x14ac:dyDescent="0.25"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4:71" x14ac:dyDescent="0.25"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4:71" x14ac:dyDescent="0.25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4:71" x14ac:dyDescent="0.25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4:71" x14ac:dyDescent="0.25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4:71" x14ac:dyDescent="0.25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4:71" x14ac:dyDescent="0.25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4:71" x14ac:dyDescent="0.25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4:71" x14ac:dyDescent="0.25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4:71" x14ac:dyDescent="0.25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4:71" x14ac:dyDescent="0.25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4:71" x14ac:dyDescent="0.25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4:71" x14ac:dyDescent="0.25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x14ac:dyDescent="0.25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x14ac:dyDescent="0.25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x14ac:dyDescent="0.25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x14ac:dyDescent="0.25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x14ac:dyDescent="0.25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x14ac:dyDescent="0.25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x14ac:dyDescent="0.25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x14ac:dyDescent="0.25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x14ac:dyDescent="0.25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x14ac:dyDescent="0.25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x14ac:dyDescent="0.25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x14ac:dyDescent="0.25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x14ac:dyDescent="0.25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x14ac:dyDescent="0.25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x14ac:dyDescent="0.25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x14ac:dyDescent="0.25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x14ac:dyDescent="0.25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x14ac:dyDescent="0.25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x14ac:dyDescent="0.25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x14ac:dyDescent="0.25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x14ac:dyDescent="0.25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x14ac:dyDescent="0.25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x14ac:dyDescent="0.25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x14ac:dyDescent="0.25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x14ac:dyDescent="0.25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x14ac:dyDescent="0.25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x14ac:dyDescent="0.25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x14ac:dyDescent="0.25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x14ac:dyDescent="0.25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x14ac:dyDescent="0.25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x14ac:dyDescent="0.25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x14ac:dyDescent="0.25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x14ac:dyDescent="0.25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x14ac:dyDescent="0.25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x14ac:dyDescent="0.25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x14ac:dyDescent="0.25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x14ac:dyDescent="0.25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x14ac:dyDescent="0.25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x14ac:dyDescent="0.25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x14ac:dyDescent="0.25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x14ac:dyDescent="0.25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x14ac:dyDescent="0.25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x14ac:dyDescent="0.25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x14ac:dyDescent="0.25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x14ac:dyDescent="0.25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x14ac:dyDescent="0.25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x14ac:dyDescent="0.25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x14ac:dyDescent="0.25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x14ac:dyDescent="0.25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x14ac:dyDescent="0.25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x14ac:dyDescent="0.25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x14ac:dyDescent="0.25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x14ac:dyDescent="0.25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x14ac:dyDescent="0.25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x14ac:dyDescent="0.25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x14ac:dyDescent="0.25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x14ac:dyDescent="0.25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x14ac:dyDescent="0.25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x14ac:dyDescent="0.25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x14ac:dyDescent="0.25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x14ac:dyDescent="0.25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x14ac:dyDescent="0.25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x14ac:dyDescent="0.25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x14ac:dyDescent="0.25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x14ac:dyDescent="0.25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x14ac:dyDescent="0.25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x14ac:dyDescent="0.25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x14ac:dyDescent="0.25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x14ac:dyDescent="0.25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x14ac:dyDescent="0.25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x14ac:dyDescent="0.25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x14ac:dyDescent="0.25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x14ac:dyDescent="0.25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x14ac:dyDescent="0.25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x14ac:dyDescent="0.25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x14ac:dyDescent="0.25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x14ac:dyDescent="0.25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x14ac:dyDescent="0.25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x14ac:dyDescent="0.25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x14ac:dyDescent="0.25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x14ac:dyDescent="0.25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x14ac:dyDescent="0.25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x14ac:dyDescent="0.25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x14ac:dyDescent="0.25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x14ac:dyDescent="0.25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x14ac:dyDescent="0.25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x14ac:dyDescent="0.25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x14ac:dyDescent="0.25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x14ac:dyDescent="0.25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x14ac:dyDescent="0.25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x14ac:dyDescent="0.25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x14ac:dyDescent="0.25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x14ac:dyDescent="0.25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x14ac:dyDescent="0.25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x14ac:dyDescent="0.25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x14ac:dyDescent="0.25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x14ac:dyDescent="0.25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x14ac:dyDescent="0.25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x14ac:dyDescent="0.25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x14ac:dyDescent="0.25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x14ac:dyDescent="0.25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x14ac:dyDescent="0.25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x14ac:dyDescent="0.25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x14ac:dyDescent="0.25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x14ac:dyDescent="0.25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x14ac:dyDescent="0.25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x14ac:dyDescent="0.25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x14ac:dyDescent="0.25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x14ac:dyDescent="0.25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x14ac:dyDescent="0.25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x14ac:dyDescent="0.25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x14ac:dyDescent="0.25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x14ac:dyDescent="0.25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x14ac:dyDescent="0.25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x14ac:dyDescent="0.25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x14ac:dyDescent="0.25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x14ac:dyDescent="0.25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x14ac:dyDescent="0.25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x14ac:dyDescent="0.25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x14ac:dyDescent="0.25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x14ac:dyDescent="0.25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x14ac:dyDescent="0.25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x14ac:dyDescent="0.25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x14ac:dyDescent="0.25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x14ac:dyDescent="0.25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x14ac:dyDescent="0.25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x14ac:dyDescent="0.25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x14ac:dyDescent="0.25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x14ac:dyDescent="0.25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x14ac:dyDescent="0.25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x14ac:dyDescent="0.25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x14ac:dyDescent="0.25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x14ac:dyDescent="0.25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x14ac:dyDescent="0.25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x14ac:dyDescent="0.25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x14ac:dyDescent="0.25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x14ac:dyDescent="0.25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x14ac:dyDescent="0.25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x14ac:dyDescent="0.25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x14ac:dyDescent="0.25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x14ac:dyDescent="0.25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x14ac:dyDescent="0.25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x14ac:dyDescent="0.25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x14ac:dyDescent="0.25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x14ac:dyDescent="0.25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x14ac:dyDescent="0.25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x14ac:dyDescent="0.25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x14ac:dyDescent="0.25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x14ac:dyDescent="0.25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x14ac:dyDescent="0.25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x14ac:dyDescent="0.25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x14ac:dyDescent="0.25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x14ac:dyDescent="0.25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x14ac:dyDescent="0.25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x14ac:dyDescent="0.25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x14ac:dyDescent="0.25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x14ac:dyDescent="0.25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x14ac:dyDescent="0.25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x14ac:dyDescent="0.25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x14ac:dyDescent="0.25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x14ac:dyDescent="0.25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x14ac:dyDescent="0.25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x14ac:dyDescent="0.25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x14ac:dyDescent="0.25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x14ac:dyDescent="0.25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x14ac:dyDescent="0.25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x14ac:dyDescent="0.25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x14ac:dyDescent="0.25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x14ac:dyDescent="0.25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x14ac:dyDescent="0.25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x14ac:dyDescent="0.25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x14ac:dyDescent="0.25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x14ac:dyDescent="0.25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x14ac:dyDescent="0.25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x14ac:dyDescent="0.25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x14ac:dyDescent="0.25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x14ac:dyDescent="0.25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x14ac:dyDescent="0.25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x14ac:dyDescent="0.25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x14ac:dyDescent="0.25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x14ac:dyDescent="0.25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x14ac:dyDescent="0.25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x14ac:dyDescent="0.25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x14ac:dyDescent="0.25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x14ac:dyDescent="0.25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x14ac:dyDescent="0.25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x14ac:dyDescent="0.25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x14ac:dyDescent="0.25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x14ac:dyDescent="0.25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x14ac:dyDescent="0.25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x14ac:dyDescent="0.25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x14ac:dyDescent="0.25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x14ac:dyDescent="0.25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x14ac:dyDescent="0.25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x14ac:dyDescent="0.25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x14ac:dyDescent="0.25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x14ac:dyDescent="0.25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x14ac:dyDescent="0.25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x14ac:dyDescent="0.25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x14ac:dyDescent="0.25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x14ac:dyDescent="0.25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x14ac:dyDescent="0.25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x14ac:dyDescent="0.25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x14ac:dyDescent="0.25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x14ac:dyDescent="0.25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x14ac:dyDescent="0.25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x14ac:dyDescent="0.25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opLeftCell="A25" zoomScaleNormal="100" workbookViewId="0">
      <selection activeCell="K12" sqref="K12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0"/>
    <col min="20" max="16384" width="9.140625" style="8"/>
  </cols>
  <sheetData>
    <row r="1" spans="1:24" ht="24" customHeight="1" x14ac:dyDescent="0.4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4" ht="28.5" customHeight="1" x14ac:dyDescent="0.4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4" ht="26.25" customHeight="1" x14ac:dyDescent="0.4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 x14ac:dyDescent="0.35">
      <c r="A4" s="43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 x14ac:dyDescent="0.3">
      <c r="A6" s="32"/>
      <c r="B6" s="44" t="s">
        <v>16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 x14ac:dyDescent="0.25">
      <c r="A8" s="32"/>
      <c r="B8" s="32"/>
      <c r="C8" s="32" t="s">
        <v>17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:24" x14ac:dyDescent="0.25">
      <c r="N10" s="8"/>
      <c r="T10" s="30"/>
      <c r="U10" s="30"/>
      <c r="V10" s="30"/>
      <c r="W10" s="30"/>
      <c r="X10" s="30"/>
    </row>
    <row r="11" spans="1:24" x14ac:dyDescent="0.25">
      <c r="C11" s="52">
        <v>44255</v>
      </c>
      <c r="E11" s="26">
        <v>1225049.9099999999</v>
      </c>
      <c r="G11" s="26">
        <v>187912.19</v>
      </c>
      <c r="I11" s="26">
        <v>270139.45</v>
      </c>
      <c r="K11" s="26">
        <f>219943.86+260862.96</f>
        <v>480806.81999999995</v>
      </c>
      <c r="M11" s="26">
        <f>SUM(E11:K11)</f>
        <v>2163908.3699999996</v>
      </c>
      <c r="N11" s="8"/>
      <c r="T11" s="30"/>
      <c r="U11" s="30"/>
      <c r="V11" s="30"/>
      <c r="W11" s="30"/>
      <c r="X11" s="30"/>
    </row>
    <row r="12" spans="1:24" x14ac:dyDescent="0.25">
      <c r="C12" s="25" t="s">
        <v>18</v>
      </c>
      <c r="D12" s="25"/>
      <c r="E12" s="25" t="s">
        <v>19</v>
      </c>
      <c r="F12" s="25"/>
      <c r="G12" s="25" t="s">
        <v>20</v>
      </c>
      <c r="H12" s="25"/>
      <c r="I12" s="25" t="s">
        <v>36</v>
      </c>
      <c r="J12" s="25"/>
      <c r="K12" s="25" t="s">
        <v>37</v>
      </c>
      <c r="L12" s="25"/>
      <c r="M12" s="25" t="s">
        <v>21</v>
      </c>
      <c r="N12" s="8"/>
      <c r="T12" s="30"/>
      <c r="U12" s="30"/>
      <c r="V12" s="30"/>
      <c r="W12" s="30"/>
      <c r="X12" s="30"/>
    </row>
    <row r="13" spans="1:24" x14ac:dyDescent="0.25">
      <c r="N13" s="8"/>
      <c r="T13" s="30"/>
      <c r="U13" s="30"/>
      <c r="V13" s="30"/>
      <c r="W13" s="30"/>
      <c r="X13" s="30"/>
    </row>
    <row r="14" spans="1:24" x14ac:dyDescent="0.25">
      <c r="N14" s="8"/>
      <c r="T14" s="30"/>
      <c r="U14" s="30"/>
      <c r="V14" s="30"/>
      <c r="W14" s="30"/>
      <c r="X14" s="30"/>
    </row>
    <row r="15" spans="1:24" x14ac:dyDescent="0.25">
      <c r="C15" s="52">
        <v>44197</v>
      </c>
      <c r="E15" s="26">
        <v>2789350.8</v>
      </c>
      <c r="G15" s="26">
        <v>769140.55</v>
      </c>
      <c r="I15" s="26">
        <v>-8015.46</v>
      </c>
      <c r="K15" s="26">
        <v>547538.73</v>
      </c>
      <c r="M15" s="26">
        <f>SUM(E15,G15,I15,K15)</f>
        <v>4098014.6199999996</v>
      </c>
      <c r="N15" s="8"/>
      <c r="T15" s="30"/>
      <c r="U15" s="30"/>
      <c r="V15" s="30"/>
      <c r="W15" s="30"/>
      <c r="X15" s="30"/>
    </row>
    <row r="16" spans="1:24" x14ac:dyDescent="0.25">
      <c r="C16" s="25" t="s">
        <v>22</v>
      </c>
      <c r="D16" s="25"/>
      <c r="E16" s="25" t="s">
        <v>19</v>
      </c>
      <c r="F16" s="25"/>
      <c r="G16" s="25" t="s">
        <v>20</v>
      </c>
      <c r="H16" s="25"/>
      <c r="I16" s="25" t="s">
        <v>36</v>
      </c>
      <c r="J16" s="25"/>
      <c r="K16" s="25" t="s">
        <v>37</v>
      </c>
      <c r="L16" s="25"/>
      <c r="M16" s="25" t="s">
        <v>21</v>
      </c>
      <c r="N16" s="8"/>
      <c r="T16" s="30"/>
      <c r="U16" s="30"/>
      <c r="V16" s="30"/>
      <c r="W16" s="30"/>
      <c r="X16" s="30"/>
    </row>
    <row r="17" spans="1:24" x14ac:dyDescent="0.25">
      <c r="N17" s="8"/>
      <c r="T17" s="30"/>
      <c r="U17" s="30"/>
      <c r="V17" s="30"/>
      <c r="W17" s="30"/>
      <c r="X17" s="30"/>
    </row>
    <row r="18" spans="1:24" x14ac:dyDescent="0.25">
      <c r="N18" s="8"/>
      <c r="T18" s="30"/>
      <c r="U18" s="30"/>
      <c r="V18" s="30"/>
      <c r="W18" s="30"/>
      <c r="X18" s="30"/>
    </row>
    <row r="19" spans="1:24" x14ac:dyDescent="0.25">
      <c r="C19" s="52">
        <v>43862</v>
      </c>
      <c r="E19" s="26">
        <v>1234245.1200000001</v>
      </c>
      <c r="G19" s="26">
        <v>549056.06999999995</v>
      </c>
      <c r="I19" s="26">
        <v>127128.78</v>
      </c>
      <c r="K19" s="26">
        <v>59585.38</v>
      </c>
      <c r="M19" s="26">
        <f>SUM(E19:K19)</f>
        <v>1970015.3499999999</v>
      </c>
      <c r="N19" s="8"/>
      <c r="T19" s="30"/>
      <c r="U19" s="30"/>
      <c r="V19" s="30"/>
      <c r="W19" s="30"/>
      <c r="X19" s="30"/>
    </row>
    <row r="20" spans="1:24" x14ac:dyDescent="0.25">
      <c r="C20" s="25" t="s">
        <v>23</v>
      </c>
      <c r="D20" s="25"/>
      <c r="E20" s="25" t="s">
        <v>19</v>
      </c>
      <c r="F20" s="25"/>
      <c r="G20" s="25" t="s">
        <v>20</v>
      </c>
      <c r="H20" s="25"/>
      <c r="I20" s="25" t="s">
        <v>36</v>
      </c>
      <c r="J20" s="25"/>
      <c r="K20" s="25" t="s">
        <v>37</v>
      </c>
      <c r="L20" s="25"/>
      <c r="M20" s="25" t="s">
        <v>21</v>
      </c>
      <c r="N20" s="8"/>
      <c r="T20" s="30"/>
      <c r="U20" s="30"/>
      <c r="V20" s="30"/>
      <c r="W20" s="30"/>
      <c r="X20" s="30"/>
    </row>
    <row r="21" spans="1:24" x14ac:dyDescent="0.25">
      <c r="N21" s="8"/>
      <c r="T21" s="30"/>
      <c r="U21" s="30"/>
      <c r="V21" s="30"/>
      <c r="W21" s="30"/>
      <c r="X21" s="30"/>
    </row>
    <row r="22" spans="1:24" x14ac:dyDescent="0.25">
      <c r="N22" s="8"/>
      <c r="T22" s="30"/>
      <c r="U22" s="30"/>
      <c r="V22" s="30"/>
      <c r="W22" s="30"/>
      <c r="X22" s="30"/>
    </row>
    <row r="23" spans="1:24" x14ac:dyDescent="0.25">
      <c r="C23" s="52">
        <v>43831</v>
      </c>
      <c r="E23" s="26">
        <v>1453182.43</v>
      </c>
      <c r="G23" s="26">
        <v>698786.55</v>
      </c>
      <c r="I23" s="26">
        <v>164097.9</v>
      </c>
      <c r="K23" s="26">
        <v>66940.77</v>
      </c>
      <c r="M23" s="26">
        <f>SUM(E23,G23,I23,K23)</f>
        <v>2383007.65</v>
      </c>
      <c r="N23" s="8"/>
      <c r="T23" s="30"/>
      <c r="U23" s="30"/>
      <c r="V23" s="30"/>
      <c r="W23" s="30"/>
      <c r="X23" s="30"/>
    </row>
    <row r="24" spans="1:24" x14ac:dyDescent="0.25">
      <c r="C24" s="25" t="s">
        <v>24</v>
      </c>
      <c r="D24" s="25"/>
      <c r="E24" s="25" t="s">
        <v>19</v>
      </c>
      <c r="F24" s="25"/>
      <c r="G24" s="25" t="s">
        <v>20</v>
      </c>
      <c r="H24" s="25"/>
      <c r="I24" s="25" t="s">
        <v>36</v>
      </c>
      <c r="J24" s="25"/>
      <c r="K24" s="25" t="s">
        <v>37</v>
      </c>
      <c r="L24" s="25"/>
      <c r="M24" s="25" t="s">
        <v>21</v>
      </c>
      <c r="N24" s="25"/>
      <c r="T24" s="30"/>
      <c r="U24" s="30"/>
      <c r="V24" s="30"/>
      <c r="W24" s="30"/>
      <c r="X24" s="30"/>
    </row>
    <row r="25" spans="1:24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1:24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.75" x14ac:dyDescent="0.3">
      <c r="A27" s="32"/>
      <c r="B27" s="44" t="s">
        <v>25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x14ac:dyDescent="0.25">
      <c r="A29" s="32"/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x14ac:dyDescent="0.25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x14ac:dyDescent="0.25">
      <c r="A32" s="45"/>
      <c r="B32" s="45"/>
      <c r="C32" s="52">
        <v>44228</v>
      </c>
      <c r="D32" s="45"/>
      <c r="E32" s="21">
        <v>2315</v>
      </c>
      <c r="F32" s="45"/>
      <c r="G32" s="26">
        <v>493065.67</v>
      </c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1:36" ht="30" x14ac:dyDescent="0.25">
      <c r="C33" s="25" t="s">
        <v>18</v>
      </c>
      <c r="D33" s="25"/>
      <c r="E33" s="27" t="s">
        <v>27</v>
      </c>
      <c r="F33" s="25"/>
      <c r="G33" s="27" t="s">
        <v>28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1:36" x14ac:dyDescent="0.25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1:36" x14ac:dyDescent="0.25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1:36" x14ac:dyDescent="0.25">
      <c r="C36" s="52">
        <v>44197</v>
      </c>
      <c r="D36" s="45"/>
      <c r="E36" s="21">
        <v>2976</v>
      </c>
      <c r="F36" s="45"/>
      <c r="G36" s="26">
        <v>556731.19999999995</v>
      </c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1:36" ht="30" x14ac:dyDescent="0.25">
      <c r="C37" s="25" t="s">
        <v>22</v>
      </c>
      <c r="D37" s="25"/>
      <c r="E37" s="27" t="s">
        <v>27</v>
      </c>
      <c r="F37" s="25"/>
      <c r="G37" s="27" t="s">
        <v>28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1:36" x14ac:dyDescent="0.25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1:36" x14ac:dyDescent="0.25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1:36" x14ac:dyDescent="0.25">
      <c r="C40" s="52">
        <v>43862</v>
      </c>
      <c r="D40" s="25"/>
      <c r="E40" s="21">
        <v>1865</v>
      </c>
      <c r="F40" s="25"/>
      <c r="G40" s="26">
        <v>393393.91</v>
      </c>
      <c r="H40" s="25"/>
      <c r="I40" s="42"/>
      <c r="J40" s="30"/>
      <c r="K40" s="30"/>
      <c r="L40" s="30"/>
      <c r="M40" s="30"/>
      <c r="T40" s="30"/>
      <c r="U40" s="30"/>
      <c r="V40" s="30"/>
    </row>
    <row r="41" spans="1:36" ht="30" x14ac:dyDescent="0.25">
      <c r="C41" s="25" t="s">
        <v>23</v>
      </c>
      <c r="D41" s="25"/>
      <c r="E41" s="27" t="s">
        <v>27</v>
      </c>
      <c r="F41" s="25"/>
      <c r="G41" s="27" t="s">
        <v>28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1:36" x14ac:dyDescent="0.25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1:36" x14ac:dyDescent="0.25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1:36" x14ac:dyDescent="0.25">
      <c r="C44" s="52">
        <v>43831</v>
      </c>
      <c r="D44" s="25"/>
      <c r="E44" s="21">
        <v>2622</v>
      </c>
      <c r="F44" s="25"/>
      <c r="G44" s="26">
        <v>327446.75</v>
      </c>
      <c r="H44" s="25"/>
      <c r="I44" s="42"/>
      <c r="J44" s="30"/>
      <c r="K44" s="30"/>
      <c r="L44" s="30"/>
      <c r="M44" s="30"/>
      <c r="T44" s="30"/>
      <c r="U44" s="30"/>
      <c r="V44" s="30"/>
    </row>
    <row r="45" spans="1:36" ht="30" x14ac:dyDescent="0.25">
      <c r="C45" s="25" t="s">
        <v>24</v>
      </c>
      <c r="D45" s="25"/>
      <c r="E45" s="27" t="s">
        <v>27</v>
      </c>
      <c r="F45" s="25"/>
      <c r="G45" s="27" t="s">
        <v>28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1:36" x14ac:dyDescent="0.25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36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36" ht="18.75" x14ac:dyDescent="0.3">
      <c r="A48" s="32"/>
      <c r="B48" s="44" t="s">
        <v>29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x14ac:dyDescent="0.25">
      <c r="A50" s="32"/>
      <c r="B50" s="32"/>
      <c r="C50" s="32" t="s">
        <v>30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1:22" x14ac:dyDescent="0.25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1:22" x14ac:dyDescent="0.25">
      <c r="C53" s="52">
        <v>44228</v>
      </c>
      <c r="D53" s="25"/>
      <c r="E53" s="26">
        <v>2233976.7200000002</v>
      </c>
      <c r="F53" s="25"/>
      <c r="G53" s="52">
        <v>44197</v>
      </c>
      <c r="H53" s="25"/>
      <c r="I53" s="26">
        <v>2869414.97</v>
      </c>
      <c r="K53" s="30"/>
      <c r="L53" s="30"/>
      <c r="M53" s="30"/>
      <c r="T53" s="30"/>
      <c r="U53" s="30"/>
      <c r="V53" s="30"/>
    </row>
    <row r="54" spans="1:22" x14ac:dyDescent="0.25">
      <c r="C54" s="25" t="s">
        <v>18</v>
      </c>
      <c r="D54" s="25"/>
      <c r="E54" s="27" t="s">
        <v>31</v>
      </c>
      <c r="F54" s="25"/>
      <c r="G54" s="25" t="s">
        <v>18</v>
      </c>
      <c r="H54" s="25"/>
      <c r="I54" s="27" t="s">
        <v>31</v>
      </c>
      <c r="J54" s="25"/>
      <c r="K54" s="30"/>
      <c r="L54" s="30"/>
      <c r="M54" s="30"/>
      <c r="T54" s="30"/>
      <c r="U54" s="30"/>
      <c r="V54" s="30"/>
    </row>
    <row r="55" spans="1:22" x14ac:dyDescent="0.2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1:22" x14ac:dyDescent="0.2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1:22" x14ac:dyDescent="0.2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1:22" x14ac:dyDescent="0.25">
      <c r="C58" s="52">
        <v>43862</v>
      </c>
      <c r="D58" s="25"/>
      <c r="E58" s="26">
        <v>1678416.64</v>
      </c>
      <c r="F58" s="25"/>
      <c r="G58" s="52">
        <v>43831</v>
      </c>
      <c r="H58" s="25"/>
      <c r="I58" s="26">
        <v>2639560.91</v>
      </c>
      <c r="J58" s="25"/>
      <c r="K58" s="30"/>
      <c r="L58" s="30"/>
      <c r="M58" s="30"/>
      <c r="T58" s="30"/>
      <c r="U58" s="30"/>
      <c r="V58" s="30"/>
    </row>
    <row r="59" spans="1:22" ht="30" x14ac:dyDescent="0.25">
      <c r="C59" s="27" t="s">
        <v>32</v>
      </c>
      <c r="D59" s="25"/>
      <c r="E59" s="27" t="s">
        <v>31</v>
      </c>
      <c r="F59" s="25"/>
      <c r="G59" s="27" t="s">
        <v>33</v>
      </c>
      <c r="H59" s="25"/>
      <c r="I59" s="27" t="s">
        <v>31</v>
      </c>
      <c r="J59" s="25"/>
      <c r="K59" s="30"/>
      <c r="L59" s="30"/>
      <c r="M59" s="30"/>
      <c r="T59" s="30"/>
      <c r="U59" s="30"/>
      <c r="V59" s="30"/>
    </row>
    <row r="60" spans="1:22" x14ac:dyDescent="0.2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x14ac:dyDescent="0.25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x14ac:dyDescent="0.25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x14ac:dyDescent="0.25">
      <c r="A64" s="30"/>
      <c r="B64" s="30"/>
      <c r="C64" s="30"/>
      <c r="D64" s="30"/>
      <c r="E64" s="30"/>
      <c r="F64" s="30"/>
      <c r="G64" s="30" t="s">
        <v>47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22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22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22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22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22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22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22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22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22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22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2020-10-14T13:53:09Z</cp:lastPrinted>
  <dcterms:created xsi:type="dcterms:W3CDTF">2020-04-08T14:34:01Z</dcterms:created>
  <dcterms:modified xsi:type="dcterms:W3CDTF">2021-03-15T19:31:27Z</dcterms:modified>
</cp:coreProperties>
</file>